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62629C0-E906-4C02-BF81-013A45D56B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" l="1"/>
  <c r="B53" i="1" s="1"/>
  <c r="B45" i="1"/>
  <c r="B44" i="1"/>
  <c r="B50" i="1"/>
  <c r="B49" i="1"/>
  <c r="B55" i="1"/>
  <c r="B54" i="1"/>
  <c r="B52" i="1"/>
  <c r="B51" i="1"/>
  <c r="B48" i="1"/>
  <c r="B41" i="1"/>
  <c r="B40" i="1"/>
  <c r="B39" i="1"/>
  <c r="B38" i="1"/>
  <c r="B37" i="1"/>
  <c r="B34" i="1"/>
  <c r="B33" i="1"/>
  <c r="B32" i="1"/>
  <c r="B29" i="1"/>
  <c r="B28" i="1"/>
  <c r="B25" i="1"/>
  <c r="B24" i="1"/>
  <c r="B23" i="1"/>
  <c r="B20" i="1"/>
  <c r="B19" i="1"/>
  <c r="B18" i="1"/>
  <c r="B17" i="1"/>
  <c r="B16" i="1"/>
  <c r="B13" i="1"/>
  <c r="B12" i="1"/>
  <c r="G47" i="1"/>
  <c r="G55" i="1" s="1"/>
  <c r="H46" i="1"/>
  <c r="H53" i="1" s="1"/>
  <c r="G46" i="1"/>
  <c r="G53" i="1" s="1"/>
  <c r="H45" i="1"/>
  <c r="G45" i="1"/>
  <c r="H44" i="1"/>
  <c r="H49" i="1" s="1"/>
  <c r="G44" i="1"/>
  <c r="G49" i="1" s="1"/>
  <c r="H55" i="1"/>
  <c r="H54" i="1"/>
  <c r="G54" i="1"/>
  <c r="H52" i="1"/>
  <c r="G52" i="1"/>
  <c r="F52" i="1"/>
  <c r="H51" i="1"/>
  <c r="G51" i="1"/>
  <c r="H50" i="1"/>
  <c r="G50" i="1"/>
  <c r="F50" i="1"/>
  <c r="H48" i="1"/>
  <c r="G48" i="1"/>
  <c r="H41" i="1"/>
  <c r="G41" i="1"/>
  <c r="H39" i="1"/>
  <c r="G39" i="1"/>
  <c r="H38" i="1"/>
  <c r="G38" i="1"/>
  <c r="H37" i="1"/>
  <c r="G37" i="1"/>
  <c r="H34" i="1"/>
  <c r="G34" i="1"/>
  <c r="H33" i="1"/>
  <c r="G33" i="1"/>
  <c r="H32" i="1"/>
  <c r="G32" i="1"/>
  <c r="H29" i="1"/>
  <c r="G29" i="1"/>
  <c r="H28" i="1"/>
  <c r="G28" i="1"/>
  <c r="H24" i="1"/>
  <c r="G24" i="1"/>
  <c r="H23" i="1"/>
  <c r="G23" i="1"/>
  <c r="H20" i="1"/>
  <c r="G20" i="1"/>
  <c r="H17" i="1"/>
  <c r="G17" i="1"/>
  <c r="H16" i="1"/>
  <c r="G16" i="1"/>
  <c r="I55" i="1"/>
  <c r="I54" i="1"/>
  <c r="I53" i="1"/>
  <c r="I52" i="1"/>
  <c r="I51" i="1"/>
  <c r="I47" i="1"/>
  <c r="I46" i="1"/>
  <c r="I45" i="1"/>
  <c r="I44" i="1"/>
  <c r="I43" i="1"/>
  <c r="I41" i="1"/>
  <c r="I40" i="1"/>
  <c r="I39" i="1"/>
  <c r="I38" i="1"/>
  <c r="I37" i="1"/>
  <c r="I36" i="1"/>
  <c r="I34" i="1"/>
  <c r="I33" i="1"/>
  <c r="I32" i="1"/>
  <c r="I31" i="1"/>
  <c r="I29" i="1"/>
  <c r="I28" i="1"/>
  <c r="I27" i="1"/>
  <c r="I25" i="1"/>
  <c r="I24" i="1"/>
  <c r="I23" i="1"/>
  <c r="I22" i="1"/>
  <c r="I20" i="1"/>
  <c r="I19" i="1"/>
  <c r="I18" i="1"/>
  <c r="I17" i="1"/>
  <c r="I16" i="1"/>
  <c r="I15" i="1"/>
  <c r="I13" i="1"/>
  <c r="I12" i="1"/>
  <c r="I11" i="1"/>
  <c r="I9" i="1"/>
  <c r="I8" i="1"/>
  <c r="I7" i="1"/>
  <c r="F55" i="1"/>
  <c r="E55" i="1"/>
  <c r="F51" i="1"/>
  <c r="E51" i="1"/>
  <c r="E50" i="1"/>
  <c r="I50" i="1" s="1"/>
  <c r="F48" i="1"/>
  <c r="I48" i="1" s="1"/>
  <c r="F46" i="1"/>
  <c r="F45" i="1"/>
  <c r="F44" i="1"/>
  <c r="F41" i="1"/>
  <c r="F40" i="1"/>
  <c r="F39" i="1"/>
  <c r="F38" i="1"/>
  <c r="F37" i="1"/>
  <c r="F34" i="1"/>
  <c r="F33" i="1"/>
  <c r="F32" i="1"/>
  <c r="F29" i="1"/>
  <c r="F28" i="1"/>
  <c r="F24" i="1"/>
  <c r="F23" i="1"/>
  <c r="F20" i="1"/>
  <c r="F19" i="1"/>
  <c r="F18" i="1"/>
  <c r="F17" i="1"/>
  <c r="F16" i="1"/>
  <c r="F13" i="1"/>
  <c r="F12" i="1"/>
  <c r="E54" i="1"/>
  <c r="E52" i="1"/>
  <c r="E48" i="1"/>
  <c r="E46" i="1"/>
  <c r="E53" i="1" s="1"/>
  <c r="E45" i="1"/>
  <c r="E44" i="1"/>
  <c r="E49" i="1" s="1"/>
  <c r="F49" i="1" l="1"/>
  <c r="I49" i="1" s="1"/>
  <c r="F53" i="1"/>
  <c r="F54" i="1"/>
</calcChain>
</file>

<file path=xl/sharedStrings.xml><?xml version="1.0" encoding="utf-8"?>
<sst xmlns="http://schemas.openxmlformats.org/spreadsheetml/2006/main" count="63" uniqueCount="30">
  <si>
    <t>Проект</t>
  </si>
  <si>
    <t>Исполнено</t>
  </si>
  <si>
    <t>2022 год</t>
  </si>
  <si>
    <t>2023 год</t>
  </si>
  <si>
    <t>2024 год</t>
  </si>
  <si>
    <t>2025 год</t>
  </si>
  <si>
    <t>2026 год</t>
  </si>
  <si>
    <t>Дума Колпашевского района</t>
  </si>
  <si>
    <t>Всего расходов</t>
  </si>
  <si>
    <t>Счетная палата Колпашевского района</t>
  </si>
  <si>
    <t>Администрация Колпашевского района</t>
  </si>
  <si>
    <t>по КВР 600</t>
  </si>
  <si>
    <t>МКУ "Агентство"</t>
  </si>
  <si>
    <t>по КВР 400</t>
  </si>
  <si>
    <t>МКУ "Архив"</t>
  </si>
  <si>
    <t>Управление образования Администрации Колпашевского района</t>
  </si>
  <si>
    <t>в т.ч. по КВР 100</t>
  </si>
  <si>
    <t>по КВР 200</t>
  </si>
  <si>
    <t xml:space="preserve">Управление по культуре, спорту и молодежной политике Администрации Колпашевского района </t>
  </si>
  <si>
    <t>Управление финансов и экономической политики Администрации Колпашевского района</t>
  </si>
  <si>
    <t>по КВР 500</t>
  </si>
  <si>
    <t>ИТОГО:</t>
  </si>
  <si>
    <t>по КВР 800</t>
  </si>
  <si>
    <t>по КВР 300</t>
  </si>
  <si>
    <t>Приложение № 2 к Заключению</t>
  </si>
  <si>
    <t xml:space="preserve">      (тыс.руб.)</t>
  </si>
  <si>
    <t>Решение Думы от 25.11.2022              № 128</t>
  </si>
  <si>
    <t>Наименование показателя</t>
  </si>
  <si>
    <t>Структура расходов бюджета муниципального образования "Колпашевский район" в 2022-2026г.г. в разрезе отдельных статей расходов</t>
  </si>
  <si>
    <t>Отклонения 2024г. к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</si>
</sst>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0" xfId="0" applyBorder="1"/>
    <xf numFmtId="0" fontId="0" fillId="0" borderId="4" xfId="0" applyBorder="1"/>
    <xf numFmtId="49" fontId="1" fillId="0" borderId="0" xfId="0" applyNumberFormat="1" applyFont="1" applyBorder="1"/>
    <xf numFmtId="0" fontId="1" fillId="0" borderId="0" xfId="0" applyFont="1" applyBorder="1"/>
    <xf numFmtId="4" fontId="0" fillId="0" borderId="0" xfId="0" applyNumberFormat="1" applyBorder="1"/>
    <xf numFmtId="0" fontId="5" fillId="0" borderId="3" xfId="0" applyFont="1" applyBorder="1" applyAlignment="1">
      <alignment wrapText="1"/>
    </xf>
    <xf numFmtId="49" fontId="5" fillId="0" borderId="1" xfId="0" applyNumberFormat="1" applyFont="1" applyBorder="1"/>
    <xf numFmtId="49" fontId="2" fillId="0" borderId="1" xfId="0" applyNumberFormat="1" applyFont="1" applyBorder="1"/>
    <xf numFmtId="49" fontId="5" fillId="0" borderId="1" xfId="0" applyNumberFormat="1" applyFont="1" applyFill="1" applyBorder="1"/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wrapText="1"/>
    </xf>
    <xf numFmtId="0" fontId="0" fillId="0" borderId="0" xfId="0" applyFont="1"/>
    <xf numFmtId="0" fontId="0" fillId="0" borderId="3" xfId="0" applyFont="1" applyBorder="1" applyAlignment="1">
      <alignment horizontal="center" wrapText="1"/>
    </xf>
    <xf numFmtId="0" fontId="0" fillId="0" borderId="0" xfId="0" applyFont="1" applyBorder="1"/>
    <xf numFmtId="4" fontId="0" fillId="0" borderId="0" xfId="0" applyNumberFormat="1" applyFont="1" applyBorder="1"/>
    <xf numFmtId="0" fontId="6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5"/>
  <sheetViews>
    <sheetView tabSelected="1" topLeftCell="A25" workbookViewId="0">
      <selection activeCell="P42" sqref="P42"/>
    </sheetView>
  </sheetViews>
  <sheetFormatPr defaultRowHeight="15" x14ac:dyDescent="0.25"/>
  <cols>
    <col min="1" max="1" width="19.28515625" customWidth="1"/>
    <col min="2" max="2" width="4.7109375" customWidth="1"/>
    <col min="3" max="3" width="1.85546875" customWidth="1"/>
    <col min="4" max="4" width="6.7109375" customWidth="1"/>
    <col min="5" max="5" width="15.85546875" customWidth="1"/>
    <col min="6" max="6" width="13.85546875" customWidth="1"/>
    <col min="7" max="7" width="12.85546875" customWidth="1"/>
    <col min="8" max="8" width="12.7109375" customWidth="1"/>
    <col min="9" max="9" width="13.5703125" customWidth="1"/>
    <col min="11" max="11" width="10" bestFit="1" customWidth="1"/>
  </cols>
  <sheetData>
    <row r="1" spans="1:19" x14ac:dyDescent="0.25">
      <c r="A1" s="16"/>
      <c r="B1" s="16"/>
      <c r="C1" s="16"/>
      <c r="D1" s="16"/>
      <c r="E1" s="16"/>
      <c r="F1" s="16"/>
      <c r="G1" s="22" t="s">
        <v>24</v>
      </c>
      <c r="H1" s="22"/>
      <c r="I1" s="22"/>
    </row>
    <row r="2" spans="1:19" ht="48.75" customHeight="1" x14ac:dyDescent="0.3">
      <c r="A2" s="31" t="s">
        <v>28</v>
      </c>
      <c r="B2" s="31"/>
      <c r="C2" s="31"/>
      <c r="D2" s="31"/>
      <c r="E2" s="31"/>
      <c r="F2" s="31"/>
      <c r="G2" s="31"/>
      <c r="H2" s="31"/>
      <c r="I2" s="32"/>
      <c r="J2" s="1"/>
      <c r="K2" s="1"/>
      <c r="L2" s="1"/>
      <c r="M2" s="1"/>
      <c r="N2" s="1"/>
      <c r="O2" s="1"/>
    </row>
    <row r="3" spans="1:19" ht="13.5" customHeight="1" x14ac:dyDescent="0.25">
      <c r="A3" s="17"/>
      <c r="B3" s="17"/>
      <c r="C3" s="17"/>
      <c r="D3" s="17"/>
      <c r="E3" s="17"/>
      <c r="F3" s="17"/>
      <c r="G3" s="17"/>
      <c r="H3" s="17"/>
      <c r="I3" s="9" t="s">
        <v>25</v>
      </c>
      <c r="J3" s="1"/>
      <c r="K3" s="1"/>
      <c r="L3" s="1"/>
      <c r="M3" s="1"/>
      <c r="N3" s="1"/>
      <c r="O3" s="1"/>
    </row>
    <row r="4" spans="1:19" ht="60" customHeight="1" x14ac:dyDescent="0.25">
      <c r="A4" s="20" t="s">
        <v>27</v>
      </c>
      <c r="B4" s="28" t="s">
        <v>1</v>
      </c>
      <c r="C4" s="29"/>
      <c r="D4" s="30"/>
      <c r="E4" s="13" t="s">
        <v>26</v>
      </c>
      <c r="F4" s="28" t="s">
        <v>0</v>
      </c>
      <c r="G4" s="29"/>
      <c r="H4" s="30"/>
      <c r="I4" s="33" t="s">
        <v>29</v>
      </c>
      <c r="J4" s="2"/>
      <c r="K4" s="3"/>
      <c r="L4" s="3"/>
      <c r="M4" s="3"/>
      <c r="N4" s="3"/>
      <c r="O4" s="3"/>
      <c r="P4" s="4"/>
      <c r="Q4" s="4"/>
      <c r="R4" s="4"/>
      <c r="S4" s="4"/>
    </row>
    <row r="5" spans="1:19" x14ac:dyDescent="0.25">
      <c r="A5" s="21"/>
      <c r="B5" s="35" t="s">
        <v>2</v>
      </c>
      <c r="C5" s="36"/>
      <c r="D5" s="37"/>
      <c r="E5" s="14" t="s">
        <v>3</v>
      </c>
      <c r="F5" s="14" t="s">
        <v>4</v>
      </c>
      <c r="G5" s="14" t="s">
        <v>5</v>
      </c>
      <c r="H5" s="14" t="s">
        <v>6</v>
      </c>
      <c r="I5" s="34"/>
      <c r="J5" s="5"/>
      <c r="K5" s="4"/>
      <c r="L5" s="4"/>
      <c r="M5" s="4"/>
      <c r="N5" s="4"/>
      <c r="O5" s="4"/>
      <c r="P5" s="4"/>
      <c r="Q5" s="4"/>
      <c r="R5" s="4"/>
      <c r="S5" s="4"/>
    </row>
    <row r="6" spans="1:19" x14ac:dyDescent="0.25">
      <c r="A6" s="23" t="s">
        <v>7</v>
      </c>
      <c r="B6" s="24"/>
      <c r="C6" s="24"/>
      <c r="D6" s="24"/>
      <c r="E6" s="24"/>
      <c r="F6" s="24"/>
      <c r="G6" s="24"/>
      <c r="H6" s="24"/>
      <c r="I6" s="25"/>
      <c r="J6" s="5"/>
      <c r="K6" s="4"/>
      <c r="L6" s="4"/>
      <c r="M6" s="4"/>
      <c r="N6" s="4"/>
      <c r="O6" s="4"/>
      <c r="P6" s="4"/>
      <c r="Q6" s="4"/>
      <c r="R6" s="4"/>
      <c r="S6" s="4"/>
    </row>
    <row r="7" spans="1:19" ht="15" customHeight="1" x14ac:dyDescent="0.25">
      <c r="A7" s="15" t="s">
        <v>8</v>
      </c>
      <c r="B7" s="38">
        <v>987.2</v>
      </c>
      <c r="C7" s="39"/>
      <c r="D7" s="40"/>
      <c r="E7" s="41">
        <v>642.4</v>
      </c>
      <c r="F7" s="41">
        <v>641.20000000000005</v>
      </c>
      <c r="G7" s="41">
        <v>642.4</v>
      </c>
      <c r="H7" s="41">
        <v>643.6</v>
      </c>
      <c r="I7" s="42">
        <f>F7-E7</f>
        <v>-1.1999999999999318</v>
      </c>
      <c r="J7" s="5"/>
      <c r="K7" s="4"/>
      <c r="L7" s="4"/>
      <c r="M7" s="4"/>
      <c r="N7" s="4"/>
      <c r="O7" s="4"/>
      <c r="P7" s="4"/>
      <c r="Q7" s="4"/>
      <c r="R7" s="4"/>
      <c r="S7" s="4"/>
    </row>
    <row r="8" spans="1:19" x14ac:dyDescent="0.25">
      <c r="A8" s="10" t="s">
        <v>16</v>
      </c>
      <c r="B8" s="43">
        <v>0</v>
      </c>
      <c r="C8" s="39"/>
      <c r="D8" s="40"/>
      <c r="E8" s="44">
        <v>0</v>
      </c>
      <c r="F8" s="44">
        <v>0</v>
      </c>
      <c r="G8" s="44">
        <v>0</v>
      </c>
      <c r="H8" s="44">
        <v>0</v>
      </c>
      <c r="I8" s="45">
        <f t="shared" ref="I8:I9" si="0">F8-E8</f>
        <v>0</v>
      </c>
      <c r="J8" s="5"/>
      <c r="K8" s="4"/>
      <c r="L8" s="4"/>
      <c r="M8" s="4"/>
      <c r="N8" s="4"/>
      <c r="O8" s="4"/>
      <c r="P8" s="4"/>
      <c r="Q8" s="4"/>
      <c r="R8" s="4"/>
      <c r="S8" s="4"/>
    </row>
    <row r="9" spans="1:19" x14ac:dyDescent="0.25">
      <c r="A9" s="10" t="s">
        <v>17</v>
      </c>
      <c r="B9" s="43">
        <v>983.4</v>
      </c>
      <c r="C9" s="39"/>
      <c r="D9" s="40"/>
      <c r="E9" s="44">
        <v>627.4</v>
      </c>
      <c r="F9" s="44">
        <v>626.20000000000005</v>
      </c>
      <c r="G9" s="44">
        <v>627.4</v>
      </c>
      <c r="H9" s="44">
        <v>628.6</v>
      </c>
      <c r="I9" s="45">
        <f t="shared" si="0"/>
        <v>-1.1999999999999318</v>
      </c>
      <c r="J9" s="5"/>
      <c r="K9" s="4"/>
      <c r="L9" s="4"/>
      <c r="M9" s="4"/>
      <c r="N9" s="4"/>
      <c r="O9" s="4"/>
      <c r="P9" s="4"/>
      <c r="Q9" s="4"/>
      <c r="R9" s="4"/>
      <c r="S9" s="4"/>
    </row>
    <row r="10" spans="1:19" x14ac:dyDescent="0.25">
      <c r="A10" s="23" t="s">
        <v>9</v>
      </c>
      <c r="B10" s="24"/>
      <c r="C10" s="24"/>
      <c r="D10" s="24"/>
      <c r="E10" s="24"/>
      <c r="F10" s="24"/>
      <c r="G10" s="24"/>
      <c r="H10" s="24"/>
      <c r="I10" s="25"/>
      <c r="J10" s="5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15" t="s">
        <v>8</v>
      </c>
      <c r="B11" s="46">
        <v>2626.7</v>
      </c>
      <c r="C11" s="47"/>
      <c r="D11" s="48"/>
      <c r="E11" s="49">
        <v>2680.5</v>
      </c>
      <c r="F11" s="49">
        <v>3052</v>
      </c>
      <c r="G11" s="49">
        <v>2895.9</v>
      </c>
      <c r="H11" s="49">
        <v>3055.8</v>
      </c>
      <c r="I11" s="50">
        <f t="shared" ref="I11:I13" si="1">F11-E11</f>
        <v>371.5</v>
      </c>
      <c r="J11" s="5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10" t="s">
        <v>16</v>
      </c>
      <c r="B12" s="51">
        <f>825.1+1260.5</f>
        <v>2085.6</v>
      </c>
      <c r="C12" s="47"/>
      <c r="D12" s="48"/>
      <c r="E12" s="52">
        <v>2248.9</v>
      </c>
      <c r="F12" s="52">
        <f>2685.8+160</f>
        <v>2845.8</v>
      </c>
      <c r="G12" s="52">
        <v>2693.2</v>
      </c>
      <c r="H12" s="52">
        <v>2853.2</v>
      </c>
      <c r="I12" s="53">
        <f t="shared" si="1"/>
        <v>596.90000000000009</v>
      </c>
      <c r="J12" s="5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5">
      <c r="A13" s="10" t="s">
        <v>17</v>
      </c>
      <c r="B13" s="51">
        <f>527.2+9.4</f>
        <v>536.6</v>
      </c>
      <c r="C13" s="54"/>
      <c r="D13" s="55"/>
      <c r="E13" s="52">
        <v>426.6</v>
      </c>
      <c r="F13" s="52">
        <f>182.2+20</f>
        <v>202.2</v>
      </c>
      <c r="G13" s="52">
        <v>199.2</v>
      </c>
      <c r="H13" s="52">
        <v>199.5</v>
      </c>
      <c r="I13" s="53">
        <f t="shared" si="1"/>
        <v>-224.40000000000003</v>
      </c>
      <c r="J13" s="5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s="23" t="s">
        <v>10</v>
      </c>
      <c r="B14" s="24"/>
      <c r="C14" s="24"/>
      <c r="D14" s="24"/>
      <c r="E14" s="24"/>
      <c r="F14" s="24"/>
      <c r="G14" s="24"/>
      <c r="H14" s="24"/>
      <c r="I14" s="25"/>
      <c r="J14" s="5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25">
      <c r="A15" s="15" t="s">
        <v>8</v>
      </c>
      <c r="B15" s="46">
        <v>334853.5</v>
      </c>
      <c r="C15" s="47"/>
      <c r="D15" s="48"/>
      <c r="E15" s="49">
        <v>99719.9</v>
      </c>
      <c r="F15" s="49">
        <v>131962.29999999999</v>
      </c>
      <c r="G15" s="49">
        <v>71183.199999999997</v>
      </c>
      <c r="H15" s="49">
        <v>71219.899999999994</v>
      </c>
      <c r="I15" s="50">
        <f t="shared" ref="I15:I20" si="2">F15-E15</f>
        <v>32242.399999999994</v>
      </c>
      <c r="J15" s="5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5">
      <c r="A16" s="10" t="s">
        <v>16</v>
      </c>
      <c r="B16" s="51">
        <f>2377.3+922.8+1356.5+8418.7+791+54.4+43.8+47299+322.1+3279.9+219.6+59.1+1755.1</f>
        <v>66899.3</v>
      </c>
      <c r="C16" s="47"/>
      <c r="D16" s="48"/>
      <c r="E16" s="52">
        <v>51300.4</v>
      </c>
      <c r="F16" s="52">
        <f>2367.6+43.6+47842+936+3913.2</f>
        <v>55102.399999999994</v>
      </c>
      <c r="G16" s="52">
        <f>2367.6+47842+936+3913.2</f>
        <v>55058.799999999996</v>
      </c>
      <c r="H16" s="52">
        <f>2367.6+47842+936+3913.2</f>
        <v>55058.799999999996</v>
      </c>
      <c r="I16" s="53">
        <f t="shared" si="2"/>
        <v>3801.9999999999927</v>
      </c>
      <c r="J16" s="5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5">
      <c r="A17" s="10" t="s">
        <v>17</v>
      </c>
      <c r="B17" s="51">
        <f>93.1+109.1+657.5+115.8+303.8+549.2+910+12527.8+120+296.3+1+1.4+19.4+35.6+2.2+1425.7+2302.2+117.3+155.6+727.8+3300+4583.7+3001.6+469.5+5651.8+25+105.8+1985.2+66.3+6.4+1.5</f>
        <v>39667.599999999999</v>
      </c>
      <c r="C17" s="47"/>
      <c r="D17" s="48"/>
      <c r="E17" s="52">
        <v>34260.1</v>
      </c>
      <c r="F17" s="52">
        <f>376.9+647.1+3129.2+9534.1+255.9+0.6+15+50+266.7+1830+4541.1+4066.2+3742.2+551.3+35.8+10+92.3</f>
        <v>29144.399999999998</v>
      </c>
      <c r="G17" s="52">
        <f>9609.5+255.9+0.6+1299.6</f>
        <v>11165.6</v>
      </c>
      <c r="H17" s="52">
        <f>9687.3+255.9+0.6+1231.3</f>
        <v>11175.099999999999</v>
      </c>
      <c r="I17" s="53">
        <f t="shared" si="2"/>
        <v>-5115.7000000000007</v>
      </c>
      <c r="J17" s="5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5">
      <c r="A18" s="10" t="s">
        <v>20</v>
      </c>
      <c r="B18" s="51">
        <f>69.9+1749.9+308.9+281.5+140+9296+40+1640+360+21260+22000+8048.7+39572.4+2082.8+329.5+13761.9+20302.7+3200+508.4+210.2+1000+1000+3064.5+2920.9+769.5+7764.7+650+733+8868+3806+3994.3+3018</f>
        <v>182751.69999999998</v>
      </c>
      <c r="C18" s="47"/>
      <c r="D18" s="48"/>
      <c r="E18" s="52">
        <v>5581.6</v>
      </c>
      <c r="F18" s="52">
        <f>5800</f>
        <v>5800</v>
      </c>
      <c r="G18" s="52">
        <v>0</v>
      </c>
      <c r="H18" s="52">
        <v>0</v>
      </c>
      <c r="I18" s="53">
        <f t="shared" si="2"/>
        <v>218.39999999999964</v>
      </c>
      <c r="J18" s="5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5">
      <c r="A19" s="10" t="s">
        <v>11</v>
      </c>
      <c r="B19" s="51">
        <f>900+100</f>
        <v>1000</v>
      </c>
      <c r="C19" s="47"/>
      <c r="D19" s="48"/>
      <c r="E19" s="52">
        <v>100</v>
      </c>
      <c r="F19" s="52">
        <f>124.1</f>
        <v>124.1</v>
      </c>
      <c r="G19" s="52">
        <v>100</v>
      </c>
      <c r="H19" s="52">
        <v>100</v>
      </c>
      <c r="I19" s="53">
        <f t="shared" si="2"/>
        <v>24.099999999999994</v>
      </c>
      <c r="J19" s="5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25">
      <c r="A20" s="10" t="s">
        <v>22</v>
      </c>
      <c r="B20" s="51">
        <f>1307.7+207.6+12+1686.5+5100.9+314.1+57.9+3.5+1939.3</f>
        <v>10629.5</v>
      </c>
      <c r="C20" s="47"/>
      <c r="D20" s="48"/>
      <c r="E20" s="52">
        <v>8298.6</v>
      </c>
      <c r="F20" s="52">
        <f>1020.8+238+617+334+80+60+6000+2219.8+935+20949.8+3072.4+4189+922.9</f>
        <v>40638.699999999997</v>
      </c>
      <c r="G20" s="52">
        <f>1020.8+226.2+1589.6+1818.8</f>
        <v>4655.3999999999996</v>
      </c>
      <c r="H20" s="52">
        <f>1020.8+226.2+2219.8+1210</f>
        <v>4676.8</v>
      </c>
      <c r="I20" s="53">
        <f t="shared" si="2"/>
        <v>32340.1</v>
      </c>
      <c r="J20" s="5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5">
      <c r="A21" s="23" t="s">
        <v>12</v>
      </c>
      <c r="B21" s="26"/>
      <c r="C21" s="26"/>
      <c r="D21" s="26"/>
      <c r="E21" s="26"/>
      <c r="F21" s="26"/>
      <c r="G21" s="26"/>
      <c r="H21" s="26"/>
      <c r="I21" s="27"/>
      <c r="J21" s="5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5">
      <c r="A22" s="15" t="s">
        <v>8</v>
      </c>
      <c r="B22" s="46">
        <v>85781.2</v>
      </c>
      <c r="C22" s="47"/>
      <c r="D22" s="48"/>
      <c r="E22" s="49">
        <v>28170.2</v>
      </c>
      <c r="F22" s="49">
        <v>12322.2</v>
      </c>
      <c r="G22" s="49">
        <v>12413.9</v>
      </c>
      <c r="H22" s="49">
        <v>12512.8</v>
      </c>
      <c r="I22" s="50">
        <f t="shared" ref="I22:I25" si="3">F22-E22</f>
        <v>-15848</v>
      </c>
      <c r="J22" s="5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5">
      <c r="A23" s="10" t="s">
        <v>16</v>
      </c>
      <c r="B23" s="51">
        <f>7746.6+36.3</f>
        <v>7782.9000000000005</v>
      </c>
      <c r="C23" s="47"/>
      <c r="D23" s="48"/>
      <c r="E23" s="52">
        <v>7507.2</v>
      </c>
      <c r="F23" s="52">
        <f>8071+160</f>
        <v>8231</v>
      </c>
      <c r="G23" s="52">
        <f>8105.2+160</f>
        <v>8265.2000000000007</v>
      </c>
      <c r="H23" s="52">
        <f>8142.6+160</f>
        <v>8302.6</v>
      </c>
      <c r="I23" s="53">
        <f t="shared" si="3"/>
        <v>723.80000000000018</v>
      </c>
      <c r="J23" s="5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10" t="s">
        <v>17</v>
      </c>
      <c r="B24" s="51">
        <f>1074.6+1965+19.5+1900.1</f>
        <v>4959.2</v>
      </c>
      <c r="C24" s="47"/>
      <c r="D24" s="48"/>
      <c r="E24" s="52">
        <v>4005.5</v>
      </c>
      <c r="F24" s="52">
        <f>1194.4+2823.7+20</f>
        <v>4038.1</v>
      </c>
      <c r="G24" s="52">
        <f>1199.8+2876.3+20</f>
        <v>4096.1000000000004</v>
      </c>
      <c r="H24" s="52">
        <f>1205.5+2932.6+20</f>
        <v>4158.1000000000004</v>
      </c>
      <c r="I24" s="53">
        <f t="shared" si="3"/>
        <v>32.599999999999909</v>
      </c>
      <c r="J24" s="5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5">
      <c r="A25" s="10" t="s">
        <v>13</v>
      </c>
      <c r="B25" s="51">
        <f>115.3+57703+13552.9</f>
        <v>71371.199999999997</v>
      </c>
      <c r="C25" s="47"/>
      <c r="D25" s="48"/>
      <c r="E25" s="52">
        <v>16604</v>
      </c>
      <c r="F25" s="52">
        <v>0</v>
      </c>
      <c r="G25" s="52">
        <v>0</v>
      </c>
      <c r="H25" s="52">
        <v>0</v>
      </c>
      <c r="I25" s="53">
        <f t="shared" si="3"/>
        <v>-16604</v>
      </c>
      <c r="J25" s="5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5">
      <c r="A26" s="23" t="s">
        <v>14</v>
      </c>
      <c r="B26" s="24"/>
      <c r="C26" s="24"/>
      <c r="D26" s="24"/>
      <c r="E26" s="24"/>
      <c r="F26" s="24"/>
      <c r="G26" s="24"/>
      <c r="H26" s="24"/>
      <c r="I26" s="25"/>
      <c r="J26" s="5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5">
      <c r="A27" s="15" t="s">
        <v>8</v>
      </c>
      <c r="B27" s="46">
        <v>5083.5</v>
      </c>
      <c r="C27" s="47"/>
      <c r="D27" s="48"/>
      <c r="E27" s="49">
        <v>2627.6</v>
      </c>
      <c r="F27" s="49">
        <v>2614.1999999999998</v>
      </c>
      <c r="G27" s="49">
        <v>2592.9</v>
      </c>
      <c r="H27" s="49">
        <v>2636.1</v>
      </c>
      <c r="I27" s="50">
        <f t="shared" ref="I27:I29" si="4">F27-E27</f>
        <v>-13.400000000000091</v>
      </c>
      <c r="J27" s="5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5">
      <c r="A28" s="10" t="s">
        <v>16</v>
      </c>
      <c r="B28" s="51">
        <f>902.5+1605.2+1164.4+513</f>
        <v>4185.1000000000004</v>
      </c>
      <c r="C28" s="47"/>
      <c r="D28" s="48"/>
      <c r="E28" s="52">
        <v>1792.9</v>
      </c>
      <c r="F28" s="52">
        <f>1689.3+126</f>
        <v>1815.3</v>
      </c>
      <c r="G28" s="52">
        <f>1689.3+94</f>
        <v>1783.3</v>
      </c>
      <c r="H28" s="52">
        <f>1689.3+126</f>
        <v>1815.3</v>
      </c>
      <c r="I28" s="53">
        <f t="shared" si="4"/>
        <v>22.399999999999864</v>
      </c>
      <c r="J28" s="5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25">
      <c r="A29" s="10" t="s">
        <v>17</v>
      </c>
      <c r="B29" s="51">
        <f>113.4+751.8+6.8+18.5</f>
        <v>890.49999999999989</v>
      </c>
      <c r="C29" s="47"/>
      <c r="D29" s="48"/>
      <c r="E29" s="52">
        <v>826.9</v>
      </c>
      <c r="F29" s="52">
        <f>782.7+3.6+5</f>
        <v>791.30000000000007</v>
      </c>
      <c r="G29" s="52">
        <f>793.4+3.7+5</f>
        <v>802.1</v>
      </c>
      <c r="H29" s="52">
        <f>804.6+3.8+5</f>
        <v>813.4</v>
      </c>
      <c r="I29" s="53">
        <f t="shared" si="4"/>
        <v>-35.599999999999909</v>
      </c>
      <c r="J29" s="5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25">
      <c r="A30" s="23" t="s">
        <v>15</v>
      </c>
      <c r="B30" s="24"/>
      <c r="C30" s="24"/>
      <c r="D30" s="24"/>
      <c r="E30" s="24"/>
      <c r="F30" s="24"/>
      <c r="G30" s="24"/>
      <c r="H30" s="24"/>
      <c r="I30" s="25"/>
      <c r="J30" s="5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25">
      <c r="A31" s="15" t="s">
        <v>8</v>
      </c>
      <c r="B31" s="46">
        <v>1272514.6000000001</v>
      </c>
      <c r="C31" s="47"/>
      <c r="D31" s="48"/>
      <c r="E31" s="49">
        <v>281394.7</v>
      </c>
      <c r="F31" s="49">
        <v>304062.7</v>
      </c>
      <c r="G31" s="49">
        <v>300673.09999999998</v>
      </c>
      <c r="H31" s="49">
        <v>304844.5</v>
      </c>
      <c r="I31" s="50">
        <f t="shared" ref="I31:I34" si="5">F31-E31</f>
        <v>22668</v>
      </c>
      <c r="J31" s="5"/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25">
      <c r="A32" s="10" t="s">
        <v>16</v>
      </c>
      <c r="B32" s="51">
        <f>56781.3+83.3+51.2+6032.4+59.7+221.1+1152.8+203.2+137.8+19549.3+39.4</f>
        <v>84311.5</v>
      </c>
      <c r="C32" s="47"/>
      <c r="D32" s="48"/>
      <c r="E32" s="52">
        <v>22196.2</v>
      </c>
      <c r="F32" s="52">
        <f>3.5+1507.8+450+196+21360.9+200</f>
        <v>23718.2</v>
      </c>
      <c r="G32" s="52">
        <f>1507.8+350+196+21360.9+200</f>
        <v>23614.7</v>
      </c>
      <c r="H32" s="52">
        <f>3.5+1507.8+350+196+21360.9+200</f>
        <v>23618.2</v>
      </c>
      <c r="I32" s="53">
        <f t="shared" si="5"/>
        <v>1522</v>
      </c>
      <c r="J32" s="5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25">
      <c r="A33" s="10" t="s">
        <v>17</v>
      </c>
      <c r="B33" s="51">
        <f>17.5+6492.2+640.3+1526.4+72.7+532.4+43.7+380.5+959.6+1179.5+1506.1+11318.2+1062.4+2926.3+367.6+36+18.2+12+332.7+53.6+370+2178.7+300+30</f>
        <v>32356.600000000002</v>
      </c>
      <c r="C33" s="47"/>
      <c r="D33" s="48"/>
      <c r="E33" s="52">
        <v>18589</v>
      </c>
      <c r="F33" s="52">
        <f>561.8+3274.6+12056.1+943.4+131+270.4+2286.5+11.5</f>
        <v>19535.300000000003</v>
      </c>
      <c r="G33" s="52">
        <f>561.8+3431.2+12694.5+943.4+131+270.4+2301.9+11.5</f>
        <v>20345.700000000004</v>
      </c>
      <c r="H33" s="52">
        <f>561.8+3531.6+12848+943.4+131+270.4+2317.9+11.5</f>
        <v>20615.600000000006</v>
      </c>
      <c r="I33" s="53">
        <f t="shared" si="5"/>
        <v>946.30000000000291</v>
      </c>
      <c r="J33" s="5"/>
      <c r="K33" s="8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10" t="s">
        <v>11</v>
      </c>
      <c r="B34" s="51">
        <f>113288.5+453.2+563.7+283.8+42568.5+83826.4+3080.1+1079.8+135.4+524548.1+8336+12652+677.1+493.1+1577.8+1263.3+890+29.7+1878.4+234.5+862.4+20409.6+947.5+1318.9+91585.4+19.8+35694.9+50902.6+8400.2+21857.7+1750.4+3647.9+377.7+2159.6+26+18+347+1519.7+3460.2+44.5+19672.1+65385+483+227.6+529.3+284.8+162+4812.9+1933.5+908.5+4459+1255.9+145.5+900.2</f>
        <v>1144368.7</v>
      </c>
      <c r="C34" s="47"/>
      <c r="D34" s="48"/>
      <c r="E34" s="52">
        <v>239443.20000000001</v>
      </c>
      <c r="F34" s="52">
        <f>1269+2185.7+107338.7+1375.2+50+12850.1+54866.2+2999.7+10688.2+532.5+19+7+558.6+85+41717+5058.2+360+768.3+4608.6+2486.5+1378+7464.1</f>
        <v>258665.60000000003</v>
      </c>
      <c r="G34" s="52">
        <f>107885.4+1375.2+50+9.8+13020.3+56041+2990+10688.2+19.8+7+565.6+85+41717+5058.2+360+768.3+4608.6+2486.5+1378+7464.1</f>
        <v>256578.00000000003</v>
      </c>
      <c r="H34" s="52">
        <f>600+108445+1375.2+50+13095.5+57687.7+3138.1+10688.2+20+7+566.6+85+41717+5058.2+360+768.3+4608.6+2486.5+1378+7464.1</f>
        <v>259599.00000000003</v>
      </c>
      <c r="I34" s="53">
        <f t="shared" si="5"/>
        <v>19222.400000000023</v>
      </c>
      <c r="J34" s="5"/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25">
      <c r="A35" s="23" t="s">
        <v>18</v>
      </c>
      <c r="B35" s="24"/>
      <c r="C35" s="24"/>
      <c r="D35" s="24"/>
      <c r="E35" s="24"/>
      <c r="F35" s="24"/>
      <c r="G35" s="24"/>
      <c r="H35" s="24"/>
      <c r="I35" s="25"/>
      <c r="J35" s="5"/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25">
      <c r="A36" s="15" t="s">
        <v>8</v>
      </c>
      <c r="B36" s="46">
        <v>205519.2</v>
      </c>
      <c r="C36" s="47"/>
      <c r="D36" s="48"/>
      <c r="E36" s="49">
        <v>107644.2</v>
      </c>
      <c r="F36" s="49">
        <v>112659.8</v>
      </c>
      <c r="G36" s="49">
        <v>31444.2</v>
      </c>
      <c r="H36" s="49">
        <v>30131.3</v>
      </c>
      <c r="I36" s="50">
        <f t="shared" ref="I36:I41" si="6">F36-E36</f>
        <v>5015.6000000000058</v>
      </c>
      <c r="J36" s="5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25">
      <c r="A37" s="10" t="s">
        <v>16</v>
      </c>
      <c r="B37" s="51">
        <f>105.1+494.1+99.1+11295.6</f>
        <v>11993.9</v>
      </c>
      <c r="C37" s="54"/>
      <c r="D37" s="55"/>
      <c r="E37" s="52">
        <v>11651.5</v>
      </c>
      <c r="F37" s="52">
        <f>11291.9+369.9+1438.8</f>
        <v>13100.599999999999</v>
      </c>
      <c r="G37" s="52">
        <f>11291.9+174.8+1268.8</f>
        <v>12735.499999999998</v>
      </c>
      <c r="H37" s="52">
        <f>11291.9+373.4+472</f>
        <v>12137.3</v>
      </c>
      <c r="I37" s="53">
        <f t="shared" si="6"/>
        <v>1449.0999999999985</v>
      </c>
      <c r="J37" s="5"/>
      <c r="K37" s="4"/>
      <c r="L37" s="4"/>
      <c r="M37" s="4"/>
      <c r="N37" s="4"/>
      <c r="O37" s="4"/>
      <c r="P37" s="4"/>
      <c r="Q37" s="4"/>
      <c r="R37" s="4"/>
      <c r="S37" s="4"/>
    </row>
    <row r="38" spans="1:19" x14ac:dyDescent="0.25">
      <c r="A38" s="10" t="s">
        <v>17</v>
      </c>
      <c r="B38" s="51">
        <f>9.9+8+20+53.2+719.8+288.4+6+5.7+1169.9+123.1+12.5</f>
        <v>2416.5</v>
      </c>
      <c r="C38" s="47"/>
      <c r="D38" s="48"/>
      <c r="E38" s="52">
        <v>2437</v>
      </c>
      <c r="F38" s="52">
        <f>48.9+45.2+100+996.2+7+5.7+1386</f>
        <v>2589</v>
      </c>
      <c r="G38" s="52">
        <f>51.2+45.2+999.5+7+5.7+1304.5+19.5</f>
        <v>2432.6000000000004</v>
      </c>
      <c r="H38" s="52">
        <f>51.2+45.2+1002.7+7+5.7+507.7+19.5</f>
        <v>1639.0000000000002</v>
      </c>
      <c r="I38" s="53">
        <f t="shared" si="6"/>
        <v>152</v>
      </c>
      <c r="J38" s="5"/>
      <c r="K38" s="4"/>
      <c r="L38" s="4"/>
      <c r="M38" s="4"/>
      <c r="N38" s="4"/>
      <c r="O38" s="4"/>
      <c r="P38" s="4"/>
      <c r="Q38" s="4"/>
      <c r="R38" s="4"/>
      <c r="S38" s="4"/>
    </row>
    <row r="39" spans="1:19" x14ac:dyDescent="0.25">
      <c r="A39" s="10" t="s">
        <v>23</v>
      </c>
      <c r="B39" s="51">
        <f>90+700+2041.7+700+869.4+258.5</f>
        <v>4659.5999999999995</v>
      </c>
      <c r="C39" s="47"/>
      <c r="D39" s="48"/>
      <c r="E39" s="52">
        <v>3079.1</v>
      </c>
      <c r="F39" s="52">
        <f>2511.6+344.8+300+393.2+428</f>
        <v>3977.6</v>
      </c>
      <c r="G39" s="52">
        <f>600+589.8+428</f>
        <v>1617.8</v>
      </c>
      <c r="H39" s="52">
        <f>600+589.8+428</f>
        <v>1617.8</v>
      </c>
      <c r="I39" s="53">
        <f t="shared" si="6"/>
        <v>898.5</v>
      </c>
      <c r="J39" s="5"/>
      <c r="K39" s="4"/>
      <c r="L39" s="4"/>
      <c r="M39" s="4"/>
      <c r="N39" s="4"/>
      <c r="O39" s="4"/>
      <c r="P39" s="4"/>
      <c r="Q39" s="4"/>
      <c r="R39" s="4"/>
      <c r="S39" s="4"/>
    </row>
    <row r="40" spans="1:19" x14ac:dyDescent="0.25">
      <c r="A40" s="10" t="s">
        <v>20</v>
      </c>
      <c r="B40" s="51">
        <f>412.2+45.8+91.4+8278.4+641.8+600+60+378+249</f>
        <v>10756.599999999999</v>
      </c>
      <c r="C40" s="47"/>
      <c r="D40" s="48"/>
      <c r="E40" s="52">
        <v>333.9</v>
      </c>
      <c r="F40" s="52">
        <f>80+395.5</f>
        <v>475.5</v>
      </c>
      <c r="G40" s="52">
        <v>0</v>
      </c>
      <c r="H40" s="52">
        <v>0</v>
      </c>
      <c r="I40" s="53">
        <f t="shared" si="6"/>
        <v>141.60000000000002</v>
      </c>
      <c r="J40" s="5"/>
      <c r="K40" s="4"/>
      <c r="L40" s="4"/>
      <c r="M40" s="4"/>
      <c r="N40" s="4"/>
      <c r="O40" s="4"/>
      <c r="P40" s="4"/>
      <c r="Q40" s="4"/>
      <c r="R40" s="4"/>
      <c r="S40" s="4"/>
    </row>
    <row r="41" spans="1:19" x14ac:dyDescent="0.25">
      <c r="A41" s="10" t="s">
        <v>11</v>
      </c>
      <c r="B41" s="51">
        <f>1437.1+338.4+49.8+51.3+52.8+10+127.8+139.7+15.5+87.3+233.1+60813.4+1739.5+40562.9+27610.3+3883+359.5+6812.1+2405.3+4729.6+8667+4768+8587+617.8+399.2+77.9</f>
        <v>174575.3</v>
      </c>
      <c r="C41" s="47"/>
      <c r="D41" s="48"/>
      <c r="E41" s="52">
        <v>89172.9</v>
      </c>
      <c r="F41" s="52">
        <f>1800.2+522.5+51.6+75.3+78.7+172.4+10+10+10+28+798.4+66+110.3+352.4+5722.7+8569.5+1098+30399.8+16218.2+24444.3+621.5</f>
        <v>91159.8</v>
      </c>
      <c r="G41" s="52">
        <f>1800.2+522.5+51.6+75.3+78.7+10+10+10+67.1+1379.3+8696.5+887+321.5</f>
        <v>13909.7</v>
      </c>
      <c r="H41" s="52">
        <f>1800.2+522.5+51.6+75.3+78.7+10+10+10+80.2+1330.1+8829.5+869+321.5</f>
        <v>13988.599999999999</v>
      </c>
      <c r="I41" s="53">
        <f t="shared" si="6"/>
        <v>1986.9000000000087</v>
      </c>
      <c r="J41" s="5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25">
      <c r="A42" s="23" t="s">
        <v>19</v>
      </c>
      <c r="B42" s="24"/>
      <c r="C42" s="24"/>
      <c r="D42" s="24"/>
      <c r="E42" s="24"/>
      <c r="F42" s="24"/>
      <c r="G42" s="24"/>
      <c r="H42" s="24"/>
      <c r="I42" s="25"/>
      <c r="J42" s="5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5">
      <c r="A43" s="15" t="s">
        <v>8</v>
      </c>
      <c r="B43" s="46">
        <v>185194.7</v>
      </c>
      <c r="C43" s="47"/>
      <c r="D43" s="48"/>
      <c r="E43" s="49">
        <v>153648.6</v>
      </c>
      <c r="F43" s="49">
        <v>159691.4</v>
      </c>
      <c r="G43" s="49">
        <v>171886.3</v>
      </c>
      <c r="H43" s="49">
        <v>183573.5</v>
      </c>
      <c r="I43" s="50">
        <f t="shared" ref="I43:I55" si="7">F43-E43</f>
        <v>6042.7999999999884</v>
      </c>
      <c r="J43" s="5"/>
      <c r="K43" s="4"/>
      <c r="L43" s="4"/>
      <c r="M43" s="4"/>
      <c r="N43" s="4"/>
      <c r="O43" s="4"/>
      <c r="P43" s="4"/>
      <c r="Q43" s="4"/>
      <c r="R43" s="4"/>
      <c r="S43" s="4"/>
    </row>
    <row r="44" spans="1:19" x14ac:dyDescent="0.25">
      <c r="A44" s="10" t="s">
        <v>16</v>
      </c>
      <c r="B44" s="51">
        <f>25.9+19811.9+193.9+0.1</f>
        <v>20031.800000000003</v>
      </c>
      <c r="C44" s="47"/>
      <c r="D44" s="48"/>
      <c r="E44" s="52">
        <f>19933.8+833</f>
        <v>20766.8</v>
      </c>
      <c r="F44" s="52">
        <f>21126.6+860</f>
        <v>21986.6</v>
      </c>
      <c r="G44" s="52">
        <f>21126.6+462</f>
        <v>21588.6</v>
      </c>
      <c r="H44" s="52">
        <f>21126.6+580</f>
        <v>21706.6</v>
      </c>
      <c r="I44" s="53">
        <f t="shared" si="7"/>
        <v>1219.7999999999993</v>
      </c>
      <c r="J44" s="5"/>
      <c r="K44" s="4"/>
      <c r="L44" s="4"/>
      <c r="M44" s="4"/>
      <c r="N44" s="4"/>
      <c r="O44" s="4"/>
      <c r="P44" s="4"/>
      <c r="Q44" s="4"/>
      <c r="R44" s="4"/>
      <c r="S44" s="4"/>
    </row>
    <row r="45" spans="1:19" x14ac:dyDescent="0.25">
      <c r="A45" s="10" t="s">
        <v>17</v>
      </c>
      <c r="B45" s="51">
        <f>2.6+1327.2+29.9</f>
        <v>1359.7</v>
      </c>
      <c r="C45" s="47"/>
      <c r="D45" s="48"/>
      <c r="E45" s="52">
        <f>1173.8+30</f>
        <v>1203.8</v>
      </c>
      <c r="F45" s="52">
        <f>1154.8+30</f>
        <v>1184.8</v>
      </c>
      <c r="G45" s="52">
        <f>1164.2+30</f>
        <v>1194.2</v>
      </c>
      <c r="H45" s="52">
        <f>1173.6+30</f>
        <v>1203.5999999999999</v>
      </c>
      <c r="I45" s="53">
        <f t="shared" si="7"/>
        <v>-19</v>
      </c>
      <c r="J45" s="5"/>
      <c r="K45" s="4"/>
      <c r="L45" s="4"/>
      <c r="M45" s="4"/>
      <c r="N45" s="4"/>
      <c r="O45" s="4"/>
      <c r="P45" s="4"/>
      <c r="Q45" s="4"/>
      <c r="R45" s="4"/>
      <c r="S45" s="4"/>
    </row>
    <row r="46" spans="1:19" x14ac:dyDescent="0.25">
      <c r="A46" s="10" t="s">
        <v>20</v>
      </c>
      <c r="B46" s="51">
        <f>1523.8+27483.3+49924.1+11083.2+73788.8</f>
        <v>163803.20000000001</v>
      </c>
      <c r="C46" s="47"/>
      <c r="D46" s="48"/>
      <c r="E46" s="52">
        <f>49349.3+11658+70170.7</f>
        <v>131178</v>
      </c>
      <c r="F46" s="52">
        <f>12275+48825+74646.5</f>
        <v>135746.5</v>
      </c>
      <c r="G46" s="52">
        <f>12171.7+48928.3+74379.5</f>
        <v>135479.5</v>
      </c>
      <c r="H46" s="52">
        <f>12171.8+48928.3+71578.3</f>
        <v>132678.40000000002</v>
      </c>
      <c r="I46" s="53">
        <f t="shared" si="7"/>
        <v>4568.5</v>
      </c>
      <c r="J46" s="5"/>
      <c r="K46" s="4"/>
      <c r="L46" s="4"/>
      <c r="M46" s="4"/>
      <c r="N46" s="4"/>
      <c r="O46" s="4"/>
      <c r="P46" s="4"/>
      <c r="Q46" s="4"/>
      <c r="R46" s="4"/>
      <c r="S46" s="4"/>
    </row>
    <row r="47" spans="1:19" x14ac:dyDescent="0.25">
      <c r="A47" s="10" t="s">
        <v>22</v>
      </c>
      <c r="B47" s="51">
        <v>0</v>
      </c>
      <c r="C47" s="47"/>
      <c r="D47" s="48"/>
      <c r="E47" s="52">
        <v>500</v>
      </c>
      <c r="F47" s="52">
        <v>773.5</v>
      </c>
      <c r="G47" s="52">
        <f>13624</f>
        <v>13624</v>
      </c>
      <c r="H47" s="52">
        <v>27985</v>
      </c>
      <c r="I47" s="53">
        <f t="shared" si="7"/>
        <v>273.5</v>
      </c>
      <c r="J47" s="5"/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25">
      <c r="A48" s="11" t="s">
        <v>21</v>
      </c>
      <c r="B48" s="46">
        <f>B7+B11+B15+B22+B27+B31+B36+B43</f>
        <v>2092560.6</v>
      </c>
      <c r="C48" s="47"/>
      <c r="D48" s="48"/>
      <c r="E48" s="49">
        <f t="shared" ref="E48:H50" si="8">E7+E11+E15+E22+E27+E31+E36+E43</f>
        <v>676528.10000000009</v>
      </c>
      <c r="F48" s="49">
        <f t="shared" si="8"/>
        <v>727005.8</v>
      </c>
      <c r="G48" s="49">
        <f t="shared" si="8"/>
        <v>593731.89999999991</v>
      </c>
      <c r="H48" s="49">
        <f t="shared" si="8"/>
        <v>608617.5</v>
      </c>
      <c r="I48" s="49">
        <f t="shared" si="7"/>
        <v>50477.699999999953</v>
      </c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x14ac:dyDescent="0.25">
      <c r="A49" s="10" t="s">
        <v>16</v>
      </c>
      <c r="B49" s="51">
        <f>B8+B12+B16+B23+B28+B32+B37+B44</f>
        <v>197290.10000000003</v>
      </c>
      <c r="C49" s="47"/>
      <c r="D49" s="48"/>
      <c r="E49" s="52">
        <f t="shared" si="8"/>
        <v>117463.90000000001</v>
      </c>
      <c r="F49" s="52">
        <f t="shared" si="8"/>
        <v>126799.9</v>
      </c>
      <c r="G49" s="52">
        <f t="shared" si="8"/>
        <v>125739.29999999999</v>
      </c>
      <c r="H49" s="52">
        <f t="shared" si="8"/>
        <v>125492</v>
      </c>
      <c r="I49" s="52">
        <f t="shared" si="7"/>
        <v>9335.9999999999854</v>
      </c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25">
      <c r="A50" s="10" t="s">
        <v>17</v>
      </c>
      <c r="B50" s="51">
        <f>B9+B13+B17+B24+B29+B33+B38+B45</f>
        <v>83170.099999999991</v>
      </c>
      <c r="C50" s="47"/>
      <c r="D50" s="48"/>
      <c r="E50" s="52">
        <f t="shared" si="8"/>
        <v>62376.3</v>
      </c>
      <c r="F50" s="52">
        <f t="shared" si="8"/>
        <v>58111.30000000001</v>
      </c>
      <c r="G50" s="52">
        <f t="shared" si="8"/>
        <v>40862.9</v>
      </c>
      <c r="H50" s="52">
        <f t="shared" si="8"/>
        <v>40432.9</v>
      </c>
      <c r="I50" s="52">
        <f t="shared" si="7"/>
        <v>-4264.9999999999927</v>
      </c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25">
      <c r="A51" s="10" t="s">
        <v>23</v>
      </c>
      <c r="B51" s="51">
        <f>B39</f>
        <v>4659.5999999999995</v>
      </c>
      <c r="C51" s="47"/>
      <c r="D51" s="48"/>
      <c r="E51" s="52">
        <f>E39</f>
        <v>3079.1</v>
      </c>
      <c r="F51" s="52">
        <f>F39</f>
        <v>3977.6</v>
      </c>
      <c r="G51" s="52">
        <f>G39</f>
        <v>1617.8</v>
      </c>
      <c r="H51" s="52">
        <f>H39</f>
        <v>1617.8</v>
      </c>
      <c r="I51" s="52">
        <f t="shared" si="7"/>
        <v>898.5</v>
      </c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25">
      <c r="A52" s="10" t="s">
        <v>13</v>
      </c>
      <c r="B52" s="51">
        <f>B25</f>
        <v>71371.199999999997</v>
      </c>
      <c r="C52" s="47"/>
      <c r="D52" s="48"/>
      <c r="E52" s="52">
        <f>E25</f>
        <v>16604</v>
      </c>
      <c r="F52" s="52">
        <f>F25</f>
        <v>0</v>
      </c>
      <c r="G52" s="52">
        <f>G25</f>
        <v>0</v>
      </c>
      <c r="H52" s="52">
        <f>H25</f>
        <v>0</v>
      </c>
      <c r="I52" s="52">
        <f t="shared" si="7"/>
        <v>-16604</v>
      </c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25">
      <c r="A53" s="10" t="s">
        <v>20</v>
      </c>
      <c r="B53" s="51">
        <f>B18+B40+B46</f>
        <v>357311.5</v>
      </c>
      <c r="C53" s="54"/>
      <c r="D53" s="55"/>
      <c r="E53" s="52">
        <f>E18+E40+E46</f>
        <v>137093.5</v>
      </c>
      <c r="F53" s="52">
        <f>F18+F40+F46</f>
        <v>142022</v>
      </c>
      <c r="G53" s="52">
        <f>G18+G40+G46</f>
        <v>135479.5</v>
      </c>
      <c r="H53" s="52">
        <f>H18+H40+H46</f>
        <v>132678.40000000002</v>
      </c>
      <c r="I53" s="52">
        <f t="shared" si="7"/>
        <v>4928.5</v>
      </c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25">
      <c r="A54" s="12" t="s">
        <v>11</v>
      </c>
      <c r="B54" s="51">
        <f>B19+B34+B41</f>
        <v>1319944</v>
      </c>
      <c r="C54" s="47"/>
      <c r="D54" s="48"/>
      <c r="E54" s="52">
        <f>E19+E34+E41</f>
        <v>328716.09999999998</v>
      </c>
      <c r="F54" s="52">
        <f>F19+F34+F41</f>
        <v>349949.50000000006</v>
      </c>
      <c r="G54" s="52">
        <f>G19+G34+G41</f>
        <v>270587.7</v>
      </c>
      <c r="H54" s="52">
        <f>H19+H34+H41</f>
        <v>273687.60000000003</v>
      </c>
      <c r="I54" s="52">
        <f t="shared" si="7"/>
        <v>21233.400000000081</v>
      </c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x14ac:dyDescent="0.25">
      <c r="A55" s="12" t="s">
        <v>22</v>
      </c>
      <c r="B55" s="51">
        <f>B20+B47</f>
        <v>10629.5</v>
      </c>
      <c r="C55" s="47"/>
      <c r="D55" s="48"/>
      <c r="E55" s="52">
        <f>E20+E47</f>
        <v>8798.6</v>
      </c>
      <c r="F55" s="52">
        <f>F20+F47</f>
        <v>41412.199999999997</v>
      </c>
      <c r="G55" s="52">
        <f>G20+G47</f>
        <v>18279.400000000001</v>
      </c>
      <c r="H55" s="52">
        <f>H20+H47</f>
        <v>32661.8</v>
      </c>
      <c r="I55" s="52">
        <f t="shared" si="7"/>
        <v>32613.599999999999</v>
      </c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25">
      <c r="A56" s="18"/>
      <c r="B56" s="18"/>
      <c r="C56" s="18"/>
      <c r="D56" s="18"/>
      <c r="E56" s="19"/>
      <c r="F56" s="18"/>
      <c r="G56" s="18"/>
      <c r="H56" s="18"/>
      <c r="I56" s="18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x14ac:dyDescent="0.25">
      <c r="A57" s="6"/>
      <c r="B57" s="7"/>
      <c r="C57" s="7"/>
      <c r="D57" s="7"/>
      <c r="E57" s="18"/>
      <c r="F57" s="18"/>
      <c r="G57" s="18"/>
      <c r="H57" s="18"/>
      <c r="I57" s="18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5">
      <c r="A61" s="6"/>
      <c r="B61" s="7"/>
      <c r="C61" s="7"/>
      <c r="D61" s="7"/>
      <c r="E61" s="18"/>
      <c r="F61" s="18"/>
      <c r="G61" s="18"/>
      <c r="H61" s="18"/>
      <c r="I61" s="18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9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</sheetData>
  <mergeCells count="57">
    <mergeCell ref="G1:I1"/>
    <mergeCell ref="A35:I35"/>
    <mergeCell ref="A42:I42"/>
    <mergeCell ref="A10:I10"/>
    <mergeCell ref="A14:I14"/>
    <mergeCell ref="A21:I21"/>
    <mergeCell ref="A26:I26"/>
    <mergeCell ref="A30:I30"/>
    <mergeCell ref="B4:D4"/>
    <mergeCell ref="F4:H4"/>
    <mergeCell ref="A2:I2"/>
    <mergeCell ref="I4:I5"/>
    <mergeCell ref="A6:I6"/>
    <mergeCell ref="B7:D7"/>
    <mergeCell ref="B5:D5"/>
    <mergeCell ref="B8:D8"/>
    <mergeCell ref="B9:D9"/>
    <mergeCell ref="B11:D11"/>
    <mergeCell ref="B12:D12"/>
    <mergeCell ref="B13:D13"/>
    <mergeCell ref="B15:D15"/>
    <mergeCell ref="B16:D16"/>
    <mergeCell ref="B17:D17"/>
    <mergeCell ref="B18:D18"/>
    <mergeCell ref="B19:D19"/>
    <mergeCell ref="B20:D20"/>
    <mergeCell ref="B29:D29"/>
    <mergeCell ref="B31:D31"/>
    <mergeCell ref="B32:D32"/>
    <mergeCell ref="B33:D33"/>
    <mergeCell ref="B22:D22"/>
    <mergeCell ref="B23:D23"/>
    <mergeCell ref="B24:D24"/>
    <mergeCell ref="B25:D25"/>
    <mergeCell ref="B27:D27"/>
    <mergeCell ref="B55:D55"/>
    <mergeCell ref="B46:D46"/>
    <mergeCell ref="B47:D47"/>
    <mergeCell ref="B48:D48"/>
    <mergeCell ref="B49:D49"/>
    <mergeCell ref="B50:D50"/>
    <mergeCell ref="A4:A5"/>
    <mergeCell ref="B51:D51"/>
    <mergeCell ref="B52:D52"/>
    <mergeCell ref="B53:D53"/>
    <mergeCell ref="B54:D54"/>
    <mergeCell ref="B40:D40"/>
    <mergeCell ref="B41:D41"/>
    <mergeCell ref="B43:D43"/>
    <mergeCell ref="B44:D44"/>
    <mergeCell ref="B45:D45"/>
    <mergeCell ref="B34:D34"/>
    <mergeCell ref="B36:D36"/>
    <mergeCell ref="B37:D37"/>
    <mergeCell ref="B38:D38"/>
    <mergeCell ref="B39:D39"/>
    <mergeCell ref="B28:D28"/>
  </mergeCells>
  <printOptions horizontalCentered="1"/>
  <pageMargins left="0.9055118110236221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2023-11-17T10:08:35Z</dcterms:modified>
</cp:coreProperties>
</file>